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cottmckenna/Downloads/"/>
    </mc:Choice>
  </mc:AlternateContent>
  <xr:revisionPtr revIDLastSave="0" documentId="13_ncr:1_{29C10169-A566-1F42-88AB-391E4FA93F35}" xr6:coauthVersionLast="41" xr6:coauthVersionMax="41" xr10:uidLastSave="{00000000-0000-0000-0000-000000000000}"/>
  <bookViews>
    <workbookView xWindow="0" yWindow="460" windowWidth="20520" windowHeight="94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8" i="1" l="1"/>
  <c r="F79" i="1" s="1"/>
  <c r="G78" i="1"/>
  <c r="G90" i="1" l="1"/>
  <c r="J59" i="1" l="1"/>
  <c r="I59" i="1"/>
  <c r="H59" i="1"/>
  <c r="G59" i="1"/>
  <c r="F59" i="1"/>
  <c r="E59" i="1"/>
  <c r="J54" i="1"/>
  <c r="I54" i="1"/>
  <c r="H54" i="1"/>
  <c r="G54" i="1"/>
  <c r="F54" i="1"/>
  <c r="E54" i="1"/>
  <c r="D107" i="1" l="1"/>
  <c r="D105" i="1" s="1"/>
  <c r="I105" i="1" s="1"/>
  <c r="J105" i="1" s="1"/>
  <c r="K105" i="1" s="1"/>
  <c r="G103" i="1"/>
  <c r="I103" i="1" s="1"/>
  <c r="G104" i="1"/>
  <c r="I104" i="1" s="1"/>
  <c r="G102" i="1"/>
  <c r="I102" i="1" s="1"/>
  <c r="J102" i="1" l="1"/>
  <c r="K102" i="1" s="1"/>
  <c r="J103" i="1"/>
  <c r="K103" i="1" s="1"/>
  <c r="J104" i="1"/>
  <c r="K104" i="1" s="1"/>
  <c r="F116" i="1"/>
  <c r="F117" i="1"/>
  <c r="F118" i="1"/>
  <c r="G118" i="1" s="1"/>
  <c r="J118" i="1" s="1"/>
  <c r="K118" i="1" s="1"/>
  <c r="F119" i="1"/>
  <c r="G119" i="1" s="1"/>
  <c r="J119" i="1" s="1"/>
  <c r="F115" i="1"/>
  <c r="G115" i="1" s="1"/>
  <c r="I115" i="1" s="1"/>
  <c r="G116" i="1" l="1"/>
  <c r="I116" i="1" s="1"/>
  <c r="K116" i="1" s="1"/>
  <c r="G117" i="1"/>
  <c r="I117" i="1" s="1"/>
  <c r="K117" i="1" s="1"/>
  <c r="K119" i="1"/>
  <c r="K115" i="1"/>
  <c r="J83" i="1"/>
  <c r="I83" i="1"/>
  <c r="H83" i="1"/>
  <c r="G83" i="1"/>
  <c r="F83" i="1"/>
  <c r="E83" i="1"/>
  <c r="J78" i="1"/>
  <c r="I78" i="1"/>
  <c r="H78" i="1"/>
  <c r="E78" i="1"/>
  <c r="L116" i="1" l="1"/>
  <c r="L118" i="1"/>
  <c r="L117" i="1"/>
  <c r="L115" i="1"/>
  <c r="J95" i="1" l="1"/>
  <c r="J90" i="1"/>
  <c r="J47" i="1"/>
  <c r="I47" i="1"/>
  <c r="H47" i="1"/>
  <c r="G47" i="1"/>
  <c r="F47" i="1"/>
  <c r="E47" i="1"/>
  <c r="J71" i="1" l="1"/>
  <c r="I71" i="1"/>
  <c r="H71" i="1"/>
  <c r="G71" i="1"/>
  <c r="F71" i="1"/>
  <c r="E71" i="1"/>
  <c r="J66" i="1"/>
  <c r="I66" i="1"/>
  <c r="H66" i="1"/>
  <c r="G66" i="1"/>
  <c r="F66" i="1"/>
  <c r="E66" i="1"/>
  <c r="J35" i="1"/>
  <c r="I35" i="1"/>
  <c r="H35" i="1"/>
  <c r="G35" i="1"/>
  <c r="F35" i="1"/>
  <c r="E35" i="1"/>
  <c r="J42" i="1" l="1"/>
  <c r="I42" i="1"/>
  <c r="H42" i="1"/>
  <c r="G42" i="1"/>
  <c r="F42" i="1"/>
  <c r="E42" i="1"/>
  <c r="J30" i="1"/>
  <c r="I30" i="1"/>
  <c r="H30" i="1"/>
  <c r="G30" i="1"/>
  <c r="F30" i="1"/>
  <c r="E30" i="1"/>
  <c r="I95" i="1" l="1"/>
  <c r="H95" i="1"/>
  <c r="G95" i="1"/>
  <c r="F95" i="1"/>
  <c r="E95" i="1"/>
  <c r="I90" i="1"/>
  <c r="H90" i="1"/>
  <c r="F90" i="1"/>
  <c r="E90" i="1"/>
  <c r="D11" i="1" l="1"/>
  <c r="D7" i="1" l="1"/>
  <c r="F55" i="1" l="1"/>
  <c r="J55" i="1"/>
  <c r="H55" i="1"/>
  <c r="G55" i="1"/>
  <c r="I55" i="1"/>
  <c r="E55" i="1"/>
  <c r="F81" i="1"/>
  <c r="F82" i="1" s="1"/>
  <c r="F84" i="1" s="1"/>
  <c r="G79" i="1"/>
  <c r="G81" i="1" s="1"/>
  <c r="G82" i="1" s="1"/>
  <c r="G84" i="1" s="1"/>
  <c r="J79" i="1"/>
  <c r="J81" i="1" s="1"/>
  <c r="J82" i="1" s="1"/>
  <c r="J84" i="1" s="1"/>
  <c r="E79" i="1"/>
  <c r="E81" i="1" s="1"/>
  <c r="E82" i="1" s="1"/>
  <c r="E84" i="1" s="1"/>
  <c r="H79" i="1"/>
  <c r="H81" i="1" s="1"/>
  <c r="H82" i="1" s="1"/>
  <c r="H84" i="1" s="1"/>
  <c r="I79" i="1"/>
  <c r="I81" i="1" s="1"/>
  <c r="I82" i="1" s="1"/>
  <c r="I84" i="1" s="1"/>
  <c r="J91" i="1"/>
  <c r="J93" i="1" s="1"/>
  <c r="J94" i="1" s="1"/>
  <c r="J96" i="1" s="1"/>
  <c r="H67" i="1"/>
  <c r="H69" i="1" s="1"/>
  <c r="H70" i="1" s="1"/>
  <c r="H72" i="1" s="1"/>
  <c r="G67" i="1"/>
  <c r="G69" i="1" s="1"/>
  <c r="G70" i="1" s="1"/>
  <c r="G72" i="1" s="1"/>
  <c r="I67" i="1"/>
  <c r="I69" i="1" s="1"/>
  <c r="I70" i="1" s="1"/>
  <c r="I72" i="1" s="1"/>
  <c r="H31" i="1"/>
  <c r="H33" i="1" s="1"/>
  <c r="H34" i="1" s="1"/>
  <c r="H36" i="1" s="1"/>
  <c r="F67" i="1"/>
  <c r="F69" i="1" s="1"/>
  <c r="F70" i="1" s="1"/>
  <c r="F72" i="1" s="1"/>
  <c r="F31" i="1"/>
  <c r="F33" i="1" s="1"/>
  <c r="F34" i="1" s="1"/>
  <c r="F36" i="1" s="1"/>
  <c r="J67" i="1"/>
  <c r="J69" i="1" s="1"/>
  <c r="J70" i="1" s="1"/>
  <c r="J72" i="1" s="1"/>
  <c r="E67" i="1"/>
  <c r="E69" i="1" s="1"/>
  <c r="E70" i="1" s="1"/>
  <c r="E72" i="1" s="1"/>
  <c r="J31" i="1"/>
  <c r="J33" i="1" s="1"/>
  <c r="J34" i="1" s="1"/>
  <c r="J36" i="1" s="1"/>
  <c r="E43" i="1"/>
  <c r="E31" i="1"/>
  <c r="E33" i="1" s="1"/>
  <c r="E34" i="1" s="1"/>
  <c r="E36" i="1" s="1"/>
  <c r="I43" i="1"/>
  <c r="I31" i="1"/>
  <c r="I33" i="1" s="1"/>
  <c r="I34" i="1" s="1"/>
  <c r="I36" i="1" s="1"/>
  <c r="F43" i="1"/>
  <c r="G43" i="1"/>
  <c r="G31" i="1"/>
  <c r="G33" i="1" s="1"/>
  <c r="G34" i="1" s="1"/>
  <c r="G36" i="1" s="1"/>
  <c r="J43" i="1"/>
  <c r="H43" i="1"/>
  <c r="D15" i="1"/>
  <c r="D20" i="1" s="1"/>
  <c r="F91" i="1"/>
  <c r="F93" i="1" s="1"/>
  <c r="I91" i="1"/>
  <c r="I93" i="1" s="1"/>
  <c r="E91" i="1"/>
  <c r="E93" i="1" s="1"/>
  <c r="H91" i="1"/>
  <c r="H93" i="1" s="1"/>
  <c r="G91" i="1"/>
  <c r="G93" i="1" s="1"/>
  <c r="E58" i="1" l="1"/>
  <c r="E60" i="1" s="1"/>
  <c r="E57" i="1"/>
  <c r="J57" i="1"/>
  <c r="J58" i="1"/>
  <c r="J60" i="1" s="1"/>
  <c r="G57" i="1"/>
  <c r="G58" i="1"/>
  <c r="G60" i="1" s="1"/>
  <c r="H58" i="1"/>
  <c r="H60" i="1" s="1"/>
  <c r="H57" i="1"/>
  <c r="I58" i="1"/>
  <c r="I60" i="1" s="1"/>
  <c r="I57" i="1"/>
  <c r="F58" i="1"/>
  <c r="F60" i="1" s="1"/>
  <c r="F57" i="1"/>
  <c r="D23" i="1"/>
  <c r="D22" i="1"/>
  <c r="I45" i="1"/>
  <c r="I46" i="1"/>
  <c r="I48" i="1" s="1"/>
  <c r="G45" i="1"/>
  <c r="G46" i="1"/>
  <c r="G48" i="1" s="1"/>
  <c r="H46" i="1"/>
  <c r="H48" i="1" s="1"/>
  <c r="H45" i="1"/>
  <c r="F45" i="1"/>
  <c r="F46" i="1"/>
  <c r="F48" i="1" s="1"/>
  <c r="E45" i="1"/>
  <c r="E46" i="1"/>
  <c r="E48" i="1" s="1"/>
  <c r="J45" i="1"/>
  <c r="J46" i="1"/>
  <c r="J48" i="1" s="1"/>
  <c r="D18" i="1"/>
  <c r="D19" i="1"/>
  <c r="D21" i="1"/>
  <c r="E94" i="1"/>
  <c r="E96" i="1" s="1"/>
  <c r="F94" i="1"/>
  <c r="F96" i="1" s="1"/>
  <c r="H94" i="1"/>
  <c r="H96" i="1" s="1"/>
  <c r="I94" i="1"/>
  <c r="I96" i="1" s="1"/>
  <c r="G94" i="1"/>
  <c r="G9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Gary Cross</author>
  </authors>
  <commentList>
    <comment ref="L115" authorId="0" shapeId="0" xr:uid="{B51286A1-9A92-4A3D-BA68-085E565069BD}">
      <text>
        <r>
          <rPr>
            <b/>
            <sz val="9"/>
            <color indexed="81"/>
            <rFont val="Tahoma"/>
            <charset val="1"/>
          </rPr>
          <t>Oil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16" authorId="0" shapeId="0" xr:uid="{FCB05874-855E-4B96-BA38-0C29777B3990}">
      <text>
        <r>
          <rPr>
            <b/>
            <sz val="9"/>
            <color indexed="81"/>
            <rFont val="Tahoma"/>
            <charset val="1"/>
          </rPr>
          <t>Propane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17" authorId="0" shapeId="0" xr:uid="{971ACF68-E43F-4F27-A50B-DBA73BC1B51A}">
      <text>
        <r>
          <rPr>
            <b/>
            <sz val="9"/>
            <color indexed="81"/>
            <rFont val="Tahoma"/>
            <charset val="1"/>
          </rPr>
          <t>Natural Gas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18" authorId="0" shapeId="0" xr:uid="{C51CE4FD-87EC-43D3-A8F0-446FB93DFB4B}">
      <text>
        <r>
          <rPr>
            <b/>
            <sz val="9"/>
            <color indexed="81"/>
            <rFont val="Tahoma"/>
            <charset val="1"/>
          </rPr>
          <t>Resistance Heat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<sst xmlns="http://schemas.openxmlformats.org/spreadsheetml/2006/main" count="131" uniqueCount="72">
  <si>
    <t>Peak Usage (gph)</t>
  </si>
  <si>
    <t>Peak Energy Req. (BTU/hr)</t>
  </si>
  <si>
    <t>Air Condition(°F)</t>
  </si>
  <si>
    <t xml:space="preserve">Heating Capacity Needed (BTU/hr) </t>
  </si>
  <si>
    <t>Existing Storage ( gallon)</t>
  </si>
  <si>
    <t>Input</t>
  </si>
  <si>
    <t>Output</t>
  </si>
  <si>
    <t>Note:</t>
  </si>
  <si>
    <t>Storage + Heat Pump recovery = Water available to meet peak demand</t>
  </si>
  <si>
    <t>%</t>
  </si>
  <si>
    <t>(&lt;------- Use 33% if peak usage duration is 3 hr, Use 50% if peak usage duration is 2 hr, Use 75% if peak usage duration is 1 hr)</t>
  </si>
  <si>
    <t>Percentage of water to be used from tank to meet peak demand</t>
  </si>
  <si>
    <t>Percentage of water reserved in tank</t>
  </si>
  <si>
    <t>Recovery From heatpump (During first hour)</t>
  </si>
  <si>
    <t>Peak demand met</t>
  </si>
  <si>
    <t>Amount of water used from Storage Tank to meet peak usage 
(During first hour)</t>
  </si>
  <si>
    <t>Existing Storage (gallon)</t>
  </si>
  <si>
    <t>Heat Pump Sizing</t>
  </si>
  <si>
    <t>Energy To be supplied by heat pump alone</t>
  </si>
  <si>
    <t>C25</t>
  </si>
  <si>
    <t>C60</t>
  </si>
  <si>
    <t>C125</t>
  </si>
  <si>
    <t>C250</t>
  </si>
  <si>
    <t xml:space="preserve">Heating Capacity </t>
  </si>
  <si>
    <t>Heating Capacity of Unit</t>
  </si>
  <si>
    <r>
      <t xml:space="preserve">Heat pump </t>
    </r>
    <r>
      <rPr>
        <b/>
        <sz val="11"/>
        <color theme="1"/>
        <rFont val="Calibri"/>
        <family val="2"/>
        <scheme val="minor"/>
      </rPr>
      <t>alone</t>
    </r>
    <r>
      <rPr>
        <sz val="11"/>
        <color theme="1"/>
        <rFont val="Calibri"/>
        <family val="2"/>
        <scheme val="minor"/>
      </rPr>
      <t xml:space="preserve"> satisfies
requirement</t>
    </r>
  </si>
  <si>
    <t>Heat Pump</t>
  </si>
  <si>
    <t>C185</t>
  </si>
  <si>
    <t>Fuel</t>
  </si>
  <si>
    <t>Cost
($/Gallon)</t>
  </si>
  <si>
    <t>Gallons</t>
  </si>
  <si>
    <t>Useful Output
 (BTU)</t>
  </si>
  <si>
    <t xml:space="preserve">Saving
($)
</t>
  </si>
  <si>
    <t>Oil-fired tank</t>
  </si>
  <si>
    <t>Gallon</t>
  </si>
  <si>
    <t>Propane</t>
  </si>
  <si>
    <t>Natural Gas</t>
  </si>
  <si>
    <t>Therm</t>
  </si>
  <si>
    <t>Resistance Tank</t>
  </si>
  <si>
    <t>-</t>
  </si>
  <si>
    <t>KWH</t>
  </si>
  <si>
    <t>Cost of electricity for heat pump 
to generate same useful output
($)</t>
  </si>
  <si>
    <t>Saving Calculation Based on Money Spent on Fuel</t>
  </si>
  <si>
    <t>Money spent
On Fuel
($)</t>
  </si>
  <si>
    <t>Efficiency 
Factor</t>
  </si>
  <si>
    <t>Saving Calculation Based on Daily Water Usage</t>
  </si>
  <si>
    <t>Fuel Type</t>
  </si>
  <si>
    <t>Btu per Unit</t>
  </si>
  <si>
    <t>Hot Water 
Usage Per day</t>
  </si>
  <si>
    <t>Efficiency
 Factor</t>
  </si>
  <si>
    <t>Annual Fuel 
(gallon)</t>
  </si>
  <si>
    <t>Annual 
Electricity (kWh)</t>
  </si>
  <si>
    <t>Annual 
Cost</t>
  </si>
  <si>
    <t>Annual
 Saving</t>
  </si>
  <si>
    <t>Hot Water Usage per day (gallon/day)</t>
  </si>
  <si>
    <t>Annual HW
 Load (BTU)</t>
  </si>
  <si>
    <t>$/kWH</t>
  </si>
  <si>
    <t>Enter Electricity Cost</t>
  </si>
  <si>
    <t>(&lt;----------------------------------ENTER COST OF ELECTRICITY)</t>
  </si>
  <si>
    <t>Supply Target Water Temp (°F)</t>
  </si>
  <si>
    <t>Incoming Supply Water Temp (°F)</t>
  </si>
  <si>
    <t># of C125 needed to meet peak demand</t>
  </si>
  <si>
    <t># of C60 needed to meet peak demand</t>
  </si>
  <si>
    <t># of C25 needed to meet peak demand</t>
  </si>
  <si>
    <t># of C185 needed to meet peak demand</t>
  </si>
  <si>
    <t># of C250 needed to meet peak demand</t>
  </si>
  <si>
    <t>C90</t>
  </si>
  <si>
    <t># of C90 needed to meet peak demand</t>
  </si>
  <si>
    <t>Gas/gal</t>
  </si>
  <si>
    <t>Propane/gal</t>
  </si>
  <si>
    <t>Nat Gas/Therm</t>
  </si>
  <si>
    <t>Resistance/KWH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</si>
</sst>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4" borderId="2" applyNumberFormat="0" applyAlignment="0" applyProtection="0"/>
    <xf numFmtId="0" fontId="4" fillId="4" borderId="1" applyNumberFormat="0" applyAlignment="0" applyProtection="0"/>
    <xf numFmtId="0" fontId="5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/>
    <xf numFmtId="0" fontId="5" fillId="0" borderId="0" xfId="5"/>
    <xf numFmtId="0" fontId="2" fillId="3" borderId="1" xfId="2" applyAlignment="1">
      <alignment horizontal="center"/>
    </xf>
    <xf numFmtId="0" fontId="4" fillId="4" borderId="1" xfId="4" applyAlignment="1">
      <alignment horizontal="center"/>
    </xf>
    <xf numFmtId="0" fontId="1" fillId="2" borderId="3" xfId="1" applyBorder="1"/>
    <xf numFmtId="0" fontId="0" fillId="0" borderId="0" xfId="0"/>
    <xf numFmtId="0" fontId="2" fillId="3" borderId="1" xfId="2"/>
    <xf numFmtId="0" fontId="3" fillId="4" borderId="2" xfId="3"/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2" fillId="3" borderId="7" xfId="2" applyBorder="1" applyAlignment="1">
      <alignment horizontal="center"/>
    </xf>
    <xf numFmtId="0" fontId="3" fillId="4" borderId="11" xfId="3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5" xfId="0" applyFont="1" applyFill="1" applyBorder="1" applyAlignment="1"/>
    <xf numFmtId="0" fontId="6" fillId="0" borderId="12" xfId="0" applyFont="1" applyFill="1" applyBorder="1" applyAlignment="1"/>
    <xf numFmtId="0" fontId="6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4" borderId="3" xfId="3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3" borderId="21" xfId="2" applyFont="1" applyBorder="1" applyAlignment="1">
      <alignment horizontal="center" vertical="center"/>
    </xf>
    <xf numFmtId="0" fontId="6" fillId="4" borderId="21" xfId="3" applyFont="1" applyBorder="1" applyAlignment="1">
      <alignment horizontal="center" vertical="center"/>
    </xf>
    <xf numFmtId="0" fontId="6" fillId="4" borderId="21" xfId="4" applyFont="1" applyBorder="1" applyAlignment="1">
      <alignment horizontal="center" vertical="center"/>
    </xf>
    <xf numFmtId="0" fontId="6" fillId="4" borderId="21" xfId="3" applyFont="1" applyBorder="1" applyAlignment="1">
      <alignment horizontal="center" vertical="center" wrapText="1"/>
    </xf>
    <xf numFmtId="0" fontId="6" fillId="4" borderId="22" xfId="3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8" xfId="0" applyBorder="1"/>
    <xf numFmtId="0" fontId="0" fillId="0" borderId="12" xfId="0" applyBorder="1"/>
    <xf numFmtId="0" fontId="0" fillId="0" borderId="10" xfId="0" applyFill="1" applyBorder="1" applyAlignment="1">
      <alignment horizontal="center" vertical="center"/>
    </xf>
    <xf numFmtId="0" fontId="0" fillId="0" borderId="11" xfId="0" applyBorder="1"/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3" xfId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/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2" fontId="2" fillId="3" borderId="1" xfId="2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2" fillId="3" borderId="25" xfId="2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8" fontId="2" fillId="3" borderId="4" xfId="2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left" vertical="top"/>
    </xf>
    <xf numFmtId="0" fontId="0" fillId="0" borderId="19" xfId="0" applyFill="1" applyBorder="1" applyAlignment="1">
      <alignment horizontal="center" vertical="center"/>
    </xf>
    <xf numFmtId="0" fontId="2" fillId="3" borderId="29" xfId="2" applyBorder="1"/>
    <xf numFmtId="2" fontId="3" fillId="4" borderId="30" xfId="3" applyNumberFormat="1" applyBorder="1" applyAlignment="1">
      <alignment horizontal="center" vertical="center"/>
    </xf>
    <xf numFmtId="2" fontId="3" fillId="4" borderId="31" xfId="3" applyNumberFormat="1" applyBorder="1" applyAlignment="1">
      <alignment horizontal="center" vertical="center"/>
    </xf>
    <xf numFmtId="2" fontId="3" fillId="4" borderId="9" xfId="3" applyNumberFormat="1" applyBorder="1" applyAlignment="1">
      <alignment horizontal="center" vertical="center"/>
    </xf>
    <xf numFmtId="8" fontId="2" fillId="3" borderId="10" xfId="2" applyNumberFormat="1" applyBorder="1" applyAlignment="1">
      <alignment horizontal="center" vertical="center"/>
    </xf>
    <xf numFmtId="0" fontId="0" fillId="0" borderId="10" xfId="0" applyBorder="1" applyAlignment="1"/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2" fillId="3" borderId="1" xfId="2" applyNumberFormat="1" applyBorder="1" applyAlignment="1">
      <alignment horizontal="center" vertical="center"/>
    </xf>
    <xf numFmtId="164" fontId="2" fillId="3" borderId="25" xfId="2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0" xfId="5" applyFont="1"/>
    <xf numFmtId="0" fontId="8" fillId="0" borderId="0" xfId="0" applyFont="1"/>
    <xf numFmtId="0" fontId="10" fillId="4" borderId="21" xfId="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3" fontId="0" fillId="0" borderId="8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Calculation" xfId="4" builtinId="22"/>
    <cellStyle name="Explanatory Text" xfId="5" builtinId="53"/>
    <cellStyle name="Good" xfId="1" builtinId="26"/>
    <cellStyle name="Input" xfId="2" builtinId="20"/>
    <cellStyle name="Normal" xfId="0" builtinId="0"/>
    <cellStyle name="Output" xfId="3" builtinId="2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21"/>
  <sheetViews>
    <sheetView tabSelected="1" topLeftCell="A69" zoomScaleNormal="100" workbookViewId="0">
      <selection activeCell="G78" sqref="F78:G78"/>
    </sheetView>
  </sheetViews>
  <sheetFormatPr baseColWidth="10" defaultColWidth="8.83203125" defaultRowHeight="15" x14ac:dyDescent="0.2"/>
  <cols>
    <col min="3" max="3" width="58.1640625" customWidth="1"/>
    <col min="4" max="4" width="23.83203125" customWidth="1"/>
    <col min="5" max="5" width="15.83203125" style="1" customWidth="1"/>
    <col min="6" max="6" width="16.33203125" style="1" customWidth="1"/>
    <col min="7" max="7" width="12.33203125" style="1" customWidth="1"/>
    <col min="8" max="9" width="13.6640625" customWidth="1"/>
    <col min="10" max="10" width="21.6640625" customWidth="1"/>
    <col min="11" max="11" width="12.1640625" customWidth="1"/>
    <col min="12" max="12" width="15.33203125" customWidth="1"/>
    <col min="13" max="13" width="16" customWidth="1"/>
    <col min="14" max="14" width="18.33203125" customWidth="1"/>
    <col min="15" max="15" width="13.6640625" customWidth="1"/>
  </cols>
  <sheetData>
    <row r="2" spans="1:12" x14ac:dyDescent="0.2">
      <c r="A2" s="7" t="s">
        <v>5</v>
      </c>
      <c r="C2" s="22" t="s">
        <v>0</v>
      </c>
      <c r="D2" s="3">
        <v>160</v>
      </c>
      <c r="F2" s="2"/>
    </row>
    <row r="3" spans="1:12" x14ac:dyDescent="0.2">
      <c r="A3" s="8" t="s">
        <v>6</v>
      </c>
      <c r="C3" s="22" t="s">
        <v>59</v>
      </c>
      <c r="D3" s="3">
        <v>140</v>
      </c>
    </row>
    <row r="4" spans="1:12" x14ac:dyDescent="0.2">
      <c r="C4" s="22" t="s">
        <v>60</v>
      </c>
      <c r="D4" s="3">
        <v>85</v>
      </c>
    </row>
    <row r="5" spans="1:12" s="6" customFormat="1" x14ac:dyDescent="0.2">
      <c r="C5" s="22" t="s">
        <v>16</v>
      </c>
      <c r="D5" s="3">
        <v>300</v>
      </c>
    </row>
    <row r="6" spans="1:12" s="6" customFormat="1" x14ac:dyDescent="0.2">
      <c r="C6" s="22" t="s">
        <v>54</v>
      </c>
      <c r="D6" s="3">
        <v>1000</v>
      </c>
    </row>
    <row r="7" spans="1:12" x14ac:dyDescent="0.2">
      <c r="C7" s="22" t="s">
        <v>1</v>
      </c>
      <c r="D7" s="4">
        <f>8.34*D2*(D3-D4)</f>
        <v>73392</v>
      </c>
    </row>
    <row r="8" spans="1:12" x14ac:dyDescent="0.2">
      <c r="C8" s="19"/>
    </row>
    <row r="9" spans="1:12" s="6" customFormat="1" ht="16" thickBot="1" x14ac:dyDescent="0.25"/>
    <row r="10" spans="1:12" s="6" customFormat="1" x14ac:dyDescent="0.2">
      <c r="C10" s="20" t="s">
        <v>11</v>
      </c>
      <c r="D10" s="17">
        <v>33</v>
      </c>
      <c r="E10" s="53" t="s">
        <v>9</v>
      </c>
      <c r="F10" s="87" t="s">
        <v>10</v>
      </c>
      <c r="G10" s="88"/>
      <c r="H10" s="87"/>
      <c r="I10" s="87"/>
      <c r="J10" s="87"/>
      <c r="K10" s="88"/>
      <c r="L10" s="88"/>
    </row>
    <row r="11" spans="1:12" s="6" customFormat="1" ht="16" thickBot="1" x14ac:dyDescent="0.25">
      <c r="C11" s="21" t="s">
        <v>12</v>
      </c>
      <c r="D11" s="18">
        <f>100-D10</f>
        <v>67</v>
      </c>
      <c r="E11" s="6" t="s">
        <v>9</v>
      </c>
      <c r="H11" s="2"/>
      <c r="I11" s="2"/>
      <c r="J11" s="2"/>
    </row>
    <row r="12" spans="1:12" s="6" customFormat="1" ht="16" thickBot="1" x14ac:dyDescent="0.25">
      <c r="F12" s="2" t="s">
        <v>7</v>
      </c>
      <c r="G12"/>
      <c r="H12" s="2"/>
      <c r="I12" s="2"/>
      <c r="J12" s="2"/>
    </row>
    <row r="13" spans="1:12" s="6" customFormat="1" ht="16" thickBot="1" x14ac:dyDescent="0.25">
      <c r="C13" s="5" t="s">
        <v>17</v>
      </c>
      <c r="F13" s="87" t="s">
        <v>8</v>
      </c>
      <c r="G13" s="88"/>
      <c r="H13" s="87"/>
      <c r="I13" s="87"/>
      <c r="J13" s="87"/>
    </row>
    <row r="14" spans="1:12" s="6" customFormat="1" ht="16" thickBot="1" x14ac:dyDescent="0.25">
      <c r="H14" s="2"/>
      <c r="I14" s="2"/>
      <c r="J14" s="2"/>
    </row>
    <row r="15" spans="1:12" s="6" customFormat="1" ht="16" thickBot="1" x14ac:dyDescent="0.25">
      <c r="C15" s="29" t="s">
        <v>18</v>
      </c>
      <c r="D15" s="30">
        <f>D7-(D5*8.34*(D3-D4)*D10/100)</f>
        <v>27980.699999999997</v>
      </c>
      <c r="H15" s="2"/>
      <c r="I15" s="2"/>
      <c r="J15" s="2"/>
    </row>
    <row r="16" spans="1:12" s="6" customFormat="1" ht="16" thickBot="1" x14ac:dyDescent="0.25">
      <c r="C16" s="49"/>
      <c r="H16" s="2"/>
      <c r="I16" s="2"/>
      <c r="J16" s="2"/>
    </row>
    <row r="17" spans="3:10" s="6" customFormat="1" ht="33" thickBot="1" x14ac:dyDescent="0.25">
      <c r="C17" s="55" t="s">
        <v>26</v>
      </c>
      <c r="D17" s="54" t="s">
        <v>25</v>
      </c>
      <c r="H17" s="2"/>
      <c r="I17" s="2"/>
      <c r="J17" s="2"/>
    </row>
    <row r="18" spans="3:10" s="6" customFormat="1" x14ac:dyDescent="0.2">
      <c r="C18" s="23" t="s">
        <v>19</v>
      </c>
      <c r="D18" s="24" t="str">
        <f>IF(D15&lt;25000, "YES","NO")</f>
        <v>NO</v>
      </c>
      <c r="H18" s="2"/>
      <c r="I18" s="2"/>
      <c r="J18" s="2"/>
    </row>
    <row r="19" spans="3:10" s="6" customFormat="1" x14ac:dyDescent="0.2">
      <c r="C19" s="25" t="s">
        <v>20</v>
      </c>
      <c r="D19" s="26" t="str">
        <f>IF(D15&lt;60000,"YES","NO")</f>
        <v>YES</v>
      </c>
      <c r="H19" s="2"/>
      <c r="I19" s="2"/>
      <c r="J19" s="2"/>
    </row>
    <row r="20" spans="3:10" s="6" customFormat="1" x14ac:dyDescent="0.2">
      <c r="C20" s="25" t="s">
        <v>66</v>
      </c>
      <c r="D20" s="26" t="str">
        <f>IF(D15&lt;60000,"YES","NO")</f>
        <v>YES</v>
      </c>
      <c r="H20" s="2"/>
      <c r="I20" s="2"/>
      <c r="J20" s="2"/>
    </row>
    <row r="21" spans="3:10" s="6" customFormat="1" x14ac:dyDescent="0.2">
      <c r="C21" s="25" t="s">
        <v>21</v>
      </c>
      <c r="D21" s="26" t="str">
        <f>IF(D15&lt;125000,"YES","NO")</f>
        <v>YES</v>
      </c>
      <c r="H21" s="2"/>
      <c r="I21" s="2"/>
      <c r="J21" s="2"/>
    </row>
    <row r="22" spans="3:10" s="6" customFormat="1" x14ac:dyDescent="0.2">
      <c r="C22" s="25" t="s">
        <v>27</v>
      </c>
      <c r="D22" s="26" t="str">
        <f>IF(D15&lt;185000,"YES","NO")</f>
        <v>YES</v>
      </c>
      <c r="H22" s="2"/>
      <c r="I22" s="2"/>
      <c r="J22" s="2"/>
    </row>
    <row r="23" spans="3:10" s="6" customFormat="1" ht="16" thickBot="1" x14ac:dyDescent="0.25">
      <c r="C23" s="27" t="s">
        <v>22</v>
      </c>
      <c r="D23" s="28" t="str">
        <f>IF(D15&lt;250000,"YES","NO")</f>
        <v>YES</v>
      </c>
      <c r="H23" s="2"/>
      <c r="I23" s="2"/>
      <c r="J23" s="2"/>
    </row>
    <row r="24" spans="3:10" s="6" customFormat="1" x14ac:dyDescent="0.2">
      <c r="H24" s="2"/>
      <c r="I24" s="2"/>
      <c r="J24" s="2"/>
    </row>
    <row r="25" spans="3:10" s="6" customFormat="1" ht="16" thickBot="1" x14ac:dyDescent="0.25">
      <c r="H25" s="2"/>
      <c r="I25" s="2"/>
      <c r="J25" s="2"/>
    </row>
    <row r="26" spans="3:10" s="6" customFormat="1" ht="16" thickBot="1" x14ac:dyDescent="0.25">
      <c r="C26" s="48" t="s">
        <v>19</v>
      </c>
    </row>
    <row r="27" spans="3:10" s="6" customFormat="1" ht="16" thickBot="1" x14ac:dyDescent="0.25">
      <c r="C27" s="47"/>
    </row>
    <row r="28" spans="3:10" s="6" customFormat="1" x14ac:dyDescent="0.2">
      <c r="C28" s="31" t="s">
        <v>2</v>
      </c>
      <c r="D28" s="38"/>
      <c r="E28" s="11">
        <v>40</v>
      </c>
      <c r="F28" s="11">
        <v>50</v>
      </c>
      <c r="G28" s="11">
        <v>60</v>
      </c>
      <c r="H28" s="11">
        <v>70</v>
      </c>
      <c r="I28" s="39">
        <v>80</v>
      </c>
      <c r="J28" s="12">
        <v>90</v>
      </c>
    </row>
    <row r="29" spans="3:10" s="6" customFormat="1" x14ac:dyDescent="0.2">
      <c r="C29" s="32"/>
      <c r="D29" s="40"/>
      <c r="E29" s="9"/>
      <c r="F29" s="9"/>
      <c r="G29" s="9"/>
      <c r="H29" s="9"/>
      <c r="I29" s="9"/>
      <c r="J29" s="41"/>
    </row>
    <row r="30" spans="3:10" s="6" customFormat="1" x14ac:dyDescent="0.2">
      <c r="C30" s="33" t="s">
        <v>4</v>
      </c>
      <c r="D30" s="40"/>
      <c r="E30" s="9">
        <f t="shared" ref="E30:J30" si="0">$D$5</f>
        <v>300</v>
      </c>
      <c r="F30" s="9">
        <f t="shared" si="0"/>
        <v>300</v>
      </c>
      <c r="G30" s="9">
        <f t="shared" si="0"/>
        <v>300</v>
      </c>
      <c r="H30" s="9">
        <f t="shared" si="0"/>
        <v>300</v>
      </c>
      <c r="I30" s="9">
        <f t="shared" si="0"/>
        <v>300</v>
      </c>
      <c r="J30" s="46">
        <f t="shared" si="0"/>
        <v>300</v>
      </c>
    </row>
    <row r="31" spans="3:10" s="6" customFormat="1" x14ac:dyDescent="0.2">
      <c r="C31" s="34" t="s">
        <v>3</v>
      </c>
      <c r="D31" s="40"/>
      <c r="E31" s="15">
        <f t="shared" ref="E31:J31" si="1">$D$7-(E30*($D$10/100)*8.34*($D$3-$D$4))</f>
        <v>27980.700000000004</v>
      </c>
      <c r="F31" s="15">
        <f t="shared" si="1"/>
        <v>27980.700000000004</v>
      </c>
      <c r="G31" s="15">
        <f t="shared" si="1"/>
        <v>27980.700000000004</v>
      </c>
      <c r="H31" s="15">
        <f t="shared" si="1"/>
        <v>27980.700000000004</v>
      </c>
      <c r="I31" s="15">
        <f t="shared" si="1"/>
        <v>27980.700000000004</v>
      </c>
      <c r="J31" s="16">
        <f t="shared" si="1"/>
        <v>27980.700000000004</v>
      </c>
    </row>
    <row r="32" spans="3:10" s="6" customFormat="1" x14ac:dyDescent="0.2">
      <c r="C32" s="34" t="s">
        <v>23</v>
      </c>
      <c r="D32" s="40"/>
      <c r="E32" s="15">
        <v>17000</v>
      </c>
      <c r="F32" s="15">
        <v>19700</v>
      </c>
      <c r="G32" s="15">
        <v>22600</v>
      </c>
      <c r="H32" s="15">
        <v>26000</v>
      </c>
      <c r="I32" s="15">
        <v>29500</v>
      </c>
      <c r="J32" s="16">
        <v>33700</v>
      </c>
    </row>
    <row r="33" spans="3:10" s="6" customFormat="1" x14ac:dyDescent="0.2">
      <c r="C33" s="89" t="s">
        <v>63</v>
      </c>
      <c r="D33" s="40"/>
      <c r="E33" s="90">
        <f t="shared" ref="E33:J33" si="2">E31/E32</f>
        <v>1.6459235294117649</v>
      </c>
      <c r="F33" s="90">
        <f t="shared" si="2"/>
        <v>1.420340101522843</v>
      </c>
      <c r="G33" s="90">
        <f t="shared" si="2"/>
        <v>1.2380840707964604</v>
      </c>
      <c r="H33" s="90">
        <f t="shared" si="2"/>
        <v>1.0761807692307694</v>
      </c>
      <c r="I33" s="90">
        <f t="shared" si="2"/>
        <v>0.94849830508474586</v>
      </c>
      <c r="J33" s="91">
        <f t="shared" si="2"/>
        <v>0.83028783382789328</v>
      </c>
    </row>
    <row r="34" spans="3:10" s="6" customFormat="1" x14ac:dyDescent="0.2">
      <c r="C34" s="35" t="s">
        <v>13</v>
      </c>
      <c r="D34" s="42"/>
      <c r="E34" s="9">
        <f>(E32)*E33/(8.34*($D$3-$D$4))</f>
        <v>61.000000000000014</v>
      </c>
      <c r="F34" s="9">
        <f>(F32)*F33/(8.34*($D$3-$D$4))</f>
        <v>61.000000000000021</v>
      </c>
      <c r="G34" s="9">
        <f>(G32*G33)/(8.34*($D$3-$D$4))</f>
        <v>61.000000000000014</v>
      </c>
      <c r="H34" s="9">
        <f>(H32*H33)/(8.34*($D$3-$D$4))</f>
        <v>61.000000000000014</v>
      </c>
      <c r="I34" s="9">
        <f>(I32*I33)/(8.34*($D$3-$D$4))</f>
        <v>61.000000000000014</v>
      </c>
      <c r="J34" s="13">
        <f>(J32*J33)/(8.34*($D$3-$D$4))</f>
        <v>61.000000000000014</v>
      </c>
    </row>
    <row r="35" spans="3:10" s="6" customFormat="1" ht="32" x14ac:dyDescent="0.2">
      <c r="C35" s="36" t="s">
        <v>15</v>
      </c>
      <c r="D35" s="42"/>
      <c r="E35" s="9">
        <f t="shared" ref="E35:J35" si="3">$D$10*$D$5/100</f>
        <v>99</v>
      </c>
      <c r="F35" s="9">
        <f t="shared" si="3"/>
        <v>99</v>
      </c>
      <c r="G35" s="9">
        <f t="shared" si="3"/>
        <v>99</v>
      </c>
      <c r="H35" s="9">
        <f t="shared" si="3"/>
        <v>99</v>
      </c>
      <c r="I35" s="9">
        <f t="shared" si="3"/>
        <v>99</v>
      </c>
      <c r="J35" s="13">
        <f t="shared" si="3"/>
        <v>99</v>
      </c>
    </row>
    <row r="36" spans="3:10" s="6" customFormat="1" ht="16" thickBot="1" x14ac:dyDescent="0.25">
      <c r="C36" s="37" t="s">
        <v>14</v>
      </c>
      <c r="D36" s="43"/>
      <c r="E36" s="14">
        <f t="shared" ref="E36:J36" si="4">E34+E35</f>
        <v>160</v>
      </c>
      <c r="F36" s="14">
        <f t="shared" si="4"/>
        <v>160.00000000000003</v>
      </c>
      <c r="G36" s="44">
        <f t="shared" si="4"/>
        <v>160</v>
      </c>
      <c r="H36" s="44">
        <f t="shared" si="4"/>
        <v>160</v>
      </c>
      <c r="I36" s="44">
        <f t="shared" si="4"/>
        <v>160</v>
      </c>
      <c r="J36" s="45">
        <f t="shared" si="4"/>
        <v>160</v>
      </c>
    </row>
    <row r="37" spans="3:10" s="6" customFormat="1" ht="16" thickBot="1" x14ac:dyDescent="0.25">
      <c r="H37" s="2"/>
      <c r="I37" s="2"/>
      <c r="J37" s="2"/>
    </row>
    <row r="38" spans="3:10" s="6" customFormat="1" ht="16" thickBot="1" x14ac:dyDescent="0.25">
      <c r="C38" s="48" t="s">
        <v>20</v>
      </c>
    </row>
    <row r="39" spans="3:10" s="6" customFormat="1" ht="16" thickBot="1" x14ac:dyDescent="0.25">
      <c r="C39" s="47"/>
    </row>
    <row r="40" spans="3:10" s="6" customFormat="1" x14ac:dyDescent="0.2">
      <c r="C40" s="31" t="s">
        <v>2</v>
      </c>
      <c r="D40" s="38"/>
      <c r="E40" s="11">
        <v>40</v>
      </c>
      <c r="F40" s="11">
        <v>50</v>
      </c>
      <c r="G40" s="11">
        <v>60</v>
      </c>
      <c r="H40" s="11">
        <v>70</v>
      </c>
      <c r="I40" s="39">
        <v>80</v>
      </c>
      <c r="J40" s="12">
        <v>90</v>
      </c>
    </row>
    <row r="41" spans="3:10" s="6" customFormat="1" x14ac:dyDescent="0.2">
      <c r="C41" s="32"/>
      <c r="D41" s="40"/>
      <c r="E41" s="9"/>
      <c r="F41" s="9"/>
      <c r="G41" s="9"/>
      <c r="H41" s="9"/>
      <c r="I41" s="9"/>
      <c r="J41" s="41"/>
    </row>
    <row r="42" spans="3:10" s="6" customFormat="1" x14ac:dyDescent="0.2">
      <c r="C42" s="33" t="s">
        <v>4</v>
      </c>
      <c r="D42" s="40"/>
      <c r="E42" s="9">
        <f t="shared" ref="E42:J42" si="5">$D$5</f>
        <v>300</v>
      </c>
      <c r="F42" s="9">
        <f t="shared" si="5"/>
        <v>300</v>
      </c>
      <c r="G42" s="9">
        <f t="shared" si="5"/>
        <v>300</v>
      </c>
      <c r="H42" s="9">
        <f t="shared" si="5"/>
        <v>300</v>
      </c>
      <c r="I42" s="9">
        <f t="shared" si="5"/>
        <v>300</v>
      </c>
      <c r="J42" s="46">
        <f t="shared" si="5"/>
        <v>300</v>
      </c>
    </row>
    <row r="43" spans="3:10" s="6" customFormat="1" x14ac:dyDescent="0.2">
      <c r="C43" s="34" t="s">
        <v>3</v>
      </c>
      <c r="D43" s="40"/>
      <c r="E43" s="15">
        <f t="shared" ref="E43:J43" si="6">$D$7-(E42*($D$10/100)*8.34*($D$3-$D$4))</f>
        <v>27980.700000000004</v>
      </c>
      <c r="F43" s="15">
        <f t="shared" si="6"/>
        <v>27980.700000000004</v>
      </c>
      <c r="G43" s="15">
        <f t="shared" si="6"/>
        <v>27980.700000000004</v>
      </c>
      <c r="H43" s="15">
        <f t="shared" si="6"/>
        <v>27980.700000000004</v>
      </c>
      <c r="I43" s="15">
        <f t="shared" si="6"/>
        <v>27980.700000000004</v>
      </c>
      <c r="J43" s="16">
        <f t="shared" si="6"/>
        <v>27980.700000000004</v>
      </c>
    </row>
    <row r="44" spans="3:10" s="6" customFormat="1" x14ac:dyDescent="0.2">
      <c r="C44" s="34" t="s">
        <v>23</v>
      </c>
      <c r="D44" s="40"/>
      <c r="E44" s="15">
        <v>39500</v>
      </c>
      <c r="F44" s="15">
        <v>45700</v>
      </c>
      <c r="G44" s="15">
        <v>52400</v>
      </c>
      <c r="H44" s="15">
        <v>60700</v>
      </c>
      <c r="I44" s="15">
        <v>68700</v>
      </c>
      <c r="J44" s="16">
        <v>74700</v>
      </c>
    </row>
    <row r="45" spans="3:10" s="6" customFormat="1" x14ac:dyDescent="0.2">
      <c r="C45" s="89" t="s">
        <v>62</v>
      </c>
      <c r="D45" s="92"/>
      <c r="E45" s="90">
        <f t="shared" ref="E45:J45" si="7">E43/E44</f>
        <v>0.70837215189873426</v>
      </c>
      <c r="F45" s="90">
        <f t="shared" si="7"/>
        <v>0.61226914660831522</v>
      </c>
      <c r="G45" s="90">
        <f t="shared" si="7"/>
        <v>0.53398282442748102</v>
      </c>
      <c r="H45" s="90">
        <f t="shared" si="7"/>
        <v>0.46096705107084029</v>
      </c>
      <c r="I45" s="90">
        <f t="shared" si="7"/>
        <v>0.40728820960698697</v>
      </c>
      <c r="J45" s="91">
        <f t="shared" si="7"/>
        <v>0.37457429718875507</v>
      </c>
    </row>
    <row r="46" spans="3:10" s="6" customFormat="1" x14ac:dyDescent="0.2">
      <c r="C46" s="35" t="s">
        <v>13</v>
      </c>
      <c r="D46" s="42"/>
      <c r="E46" s="9">
        <f t="shared" ref="E46:J46" si="8">(E43)/(8.34*($D$3-$D$4))</f>
        <v>61.000000000000014</v>
      </c>
      <c r="F46" s="9">
        <f t="shared" si="8"/>
        <v>61.000000000000014</v>
      </c>
      <c r="G46" s="9">
        <f t="shared" si="8"/>
        <v>61.000000000000014</v>
      </c>
      <c r="H46" s="9">
        <f t="shared" si="8"/>
        <v>61.000000000000014</v>
      </c>
      <c r="I46" s="9">
        <f t="shared" si="8"/>
        <v>61.000000000000014</v>
      </c>
      <c r="J46" s="13">
        <f t="shared" si="8"/>
        <v>61.000000000000014</v>
      </c>
    </row>
    <row r="47" spans="3:10" s="6" customFormat="1" ht="32" x14ac:dyDescent="0.2">
      <c r="C47" s="36" t="s">
        <v>15</v>
      </c>
      <c r="D47" s="42"/>
      <c r="E47" s="9">
        <f t="shared" ref="E47:J47" si="9">$D$10*$D$5/100</f>
        <v>99</v>
      </c>
      <c r="F47" s="9">
        <f t="shared" si="9"/>
        <v>99</v>
      </c>
      <c r="G47" s="9">
        <f t="shared" si="9"/>
        <v>99</v>
      </c>
      <c r="H47" s="9">
        <f t="shared" si="9"/>
        <v>99</v>
      </c>
      <c r="I47" s="9">
        <f t="shared" si="9"/>
        <v>99</v>
      </c>
      <c r="J47" s="13">
        <f t="shared" si="9"/>
        <v>99</v>
      </c>
    </row>
    <row r="48" spans="3:10" s="6" customFormat="1" ht="16" thickBot="1" x14ac:dyDescent="0.25">
      <c r="C48" s="37" t="s">
        <v>14</v>
      </c>
      <c r="D48" s="43"/>
      <c r="E48" s="14">
        <f t="shared" ref="E48:J48" si="10">E46+E47</f>
        <v>160</v>
      </c>
      <c r="F48" s="14">
        <f t="shared" si="10"/>
        <v>160</v>
      </c>
      <c r="G48" s="14">
        <f t="shared" si="10"/>
        <v>160</v>
      </c>
      <c r="H48" s="14">
        <f t="shared" si="10"/>
        <v>160</v>
      </c>
      <c r="I48" s="14">
        <f t="shared" si="10"/>
        <v>160</v>
      </c>
      <c r="J48" s="86">
        <f t="shared" si="10"/>
        <v>160</v>
      </c>
    </row>
    <row r="49" spans="3:11" s="6" customFormat="1" ht="16" thickBot="1" x14ac:dyDescent="0.25">
      <c r="H49" s="2"/>
      <c r="I49" s="2"/>
      <c r="J49" s="2"/>
    </row>
    <row r="50" spans="3:11" s="6" customFormat="1" ht="16" thickBot="1" x14ac:dyDescent="0.25">
      <c r="C50" s="48" t="s">
        <v>66</v>
      </c>
    </row>
    <row r="51" spans="3:11" s="6" customFormat="1" ht="16" thickBot="1" x14ac:dyDescent="0.25">
      <c r="C51" s="47"/>
    </row>
    <row r="52" spans="3:11" s="6" customFormat="1" x14ac:dyDescent="0.2">
      <c r="C52" s="31" t="s">
        <v>2</v>
      </c>
      <c r="D52" s="38"/>
      <c r="E52" s="11">
        <v>40</v>
      </c>
      <c r="F52" s="11">
        <v>50</v>
      </c>
      <c r="G52" s="11">
        <v>60</v>
      </c>
      <c r="H52" s="11">
        <v>70</v>
      </c>
      <c r="I52" s="39">
        <v>80</v>
      </c>
      <c r="J52" s="12">
        <v>90</v>
      </c>
    </row>
    <row r="53" spans="3:11" s="6" customFormat="1" x14ac:dyDescent="0.2">
      <c r="C53" s="32"/>
      <c r="D53" s="40"/>
      <c r="E53" s="9"/>
      <c r="F53" s="9"/>
      <c r="G53" s="9"/>
      <c r="H53" s="9"/>
      <c r="I53" s="9"/>
      <c r="J53" s="41"/>
    </row>
    <row r="54" spans="3:11" s="6" customFormat="1" x14ac:dyDescent="0.2">
      <c r="C54" s="33" t="s">
        <v>4</v>
      </c>
      <c r="D54" s="40"/>
      <c r="E54" s="9">
        <f t="shared" ref="E54:J54" si="11">$D$5</f>
        <v>300</v>
      </c>
      <c r="F54" s="9">
        <f t="shared" si="11"/>
        <v>300</v>
      </c>
      <c r="G54" s="9">
        <f t="shared" si="11"/>
        <v>300</v>
      </c>
      <c r="H54" s="9">
        <f t="shared" si="11"/>
        <v>300</v>
      </c>
      <c r="I54" s="9">
        <f t="shared" si="11"/>
        <v>300</v>
      </c>
      <c r="J54" s="46">
        <f t="shared" si="11"/>
        <v>300</v>
      </c>
    </row>
    <row r="55" spans="3:11" s="6" customFormat="1" x14ac:dyDescent="0.2">
      <c r="C55" s="34" t="s">
        <v>3</v>
      </c>
      <c r="D55" s="40"/>
      <c r="E55" s="15">
        <f t="shared" ref="E55:J55" si="12">$D$7-(E54*($D$10/100)*8.34*($D$3-$D$4))</f>
        <v>27980.700000000004</v>
      </c>
      <c r="F55" s="15">
        <f t="shared" si="12"/>
        <v>27980.700000000004</v>
      </c>
      <c r="G55" s="15">
        <f t="shared" si="12"/>
        <v>27980.700000000004</v>
      </c>
      <c r="H55" s="15">
        <f t="shared" si="12"/>
        <v>27980.700000000004</v>
      </c>
      <c r="I55" s="15">
        <f t="shared" si="12"/>
        <v>27980.700000000004</v>
      </c>
      <c r="J55" s="16">
        <f t="shared" si="12"/>
        <v>27980.700000000004</v>
      </c>
    </row>
    <row r="56" spans="3:11" s="6" customFormat="1" x14ac:dyDescent="0.2">
      <c r="C56" s="34" t="s">
        <v>23</v>
      </c>
      <c r="D56" s="40"/>
      <c r="E56" s="15">
        <v>68720</v>
      </c>
      <c r="F56" s="15">
        <v>77980</v>
      </c>
      <c r="G56" s="15">
        <v>91560</v>
      </c>
      <c r="H56" s="15">
        <v>103360</v>
      </c>
      <c r="I56" s="15">
        <v>119870</v>
      </c>
      <c r="J56" s="16">
        <v>137300</v>
      </c>
    </row>
    <row r="57" spans="3:11" s="6" customFormat="1" x14ac:dyDescent="0.2">
      <c r="C57" s="89" t="s">
        <v>67</v>
      </c>
      <c r="D57" s="92"/>
      <c r="E57" s="90">
        <f t="shared" ref="E57:J57" si="13">E55/E56</f>
        <v>0.40716967403958099</v>
      </c>
      <c r="F57" s="90">
        <f t="shared" si="13"/>
        <v>0.35881892793023856</v>
      </c>
      <c r="G57" s="90">
        <f t="shared" si="13"/>
        <v>0.30559960681520321</v>
      </c>
      <c r="H57" s="90">
        <f t="shared" si="13"/>
        <v>0.27071110681114557</v>
      </c>
      <c r="I57" s="90">
        <f t="shared" si="13"/>
        <v>0.23342537749228334</v>
      </c>
      <c r="J57" s="91">
        <f t="shared" si="13"/>
        <v>0.20379242534595779</v>
      </c>
    </row>
    <row r="58" spans="3:11" s="6" customFormat="1" x14ac:dyDescent="0.2">
      <c r="C58" s="35" t="s">
        <v>13</v>
      </c>
      <c r="D58" s="42"/>
      <c r="E58" s="9">
        <f t="shared" ref="E58:J58" si="14">(E55)/(8.34*($D$3-$D$4))</f>
        <v>61.000000000000014</v>
      </c>
      <c r="F58" s="9">
        <f t="shared" si="14"/>
        <v>61.000000000000014</v>
      </c>
      <c r="G58" s="9">
        <f t="shared" si="14"/>
        <v>61.000000000000014</v>
      </c>
      <c r="H58" s="9">
        <f t="shared" si="14"/>
        <v>61.000000000000014</v>
      </c>
      <c r="I58" s="9">
        <f t="shared" si="14"/>
        <v>61.000000000000014</v>
      </c>
      <c r="J58" s="13">
        <f t="shared" si="14"/>
        <v>61.000000000000014</v>
      </c>
    </row>
    <row r="59" spans="3:11" s="6" customFormat="1" ht="32" x14ac:dyDescent="0.2">
      <c r="C59" s="36" t="s">
        <v>15</v>
      </c>
      <c r="D59" s="42"/>
      <c r="E59" s="9">
        <f t="shared" ref="E59:J59" si="15">$D$10*$D$5/100</f>
        <v>99</v>
      </c>
      <c r="F59" s="9">
        <f t="shared" si="15"/>
        <v>99</v>
      </c>
      <c r="G59" s="9">
        <f t="shared" si="15"/>
        <v>99</v>
      </c>
      <c r="H59" s="9">
        <f t="shared" si="15"/>
        <v>99</v>
      </c>
      <c r="I59" s="9">
        <f t="shared" si="15"/>
        <v>99</v>
      </c>
      <c r="J59" s="13">
        <f t="shared" si="15"/>
        <v>99</v>
      </c>
    </row>
    <row r="60" spans="3:11" s="6" customFormat="1" ht="16" thickBot="1" x14ac:dyDescent="0.25">
      <c r="C60" s="37" t="s">
        <v>14</v>
      </c>
      <c r="D60" s="43"/>
      <c r="E60" s="14">
        <f t="shared" ref="E60:J60" si="16">E58+E59</f>
        <v>160</v>
      </c>
      <c r="F60" s="14">
        <f t="shared" si="16"/>
        <v>160</v>
      </c>
      <c r="G60" s="14">
        <f t="shared" si="16"/>
        <v>160</v>
      </c>
      <c r="H60" s="14">
        <f t="shared" si="16"/>
        <v>160</v>
      </c>
      <c r="I60" s="14">
        <f t="shared" si="16"/>
        <v>160</v>
      </c>
      <c r="J60" s="86">
        <f t="shared" si="16"/>
        <v>160</v>
      </c>
    </row>
    <row r="61" spans="3:11" s="6" customFormat="1" ht="16" thickBot="1" x14ac:dyDescent="0.25">
      <c r="H61" s="2"/>
      <c r="I61" s="2"/>
      <c r="J61" s="2"/>
    </row>
    <row r="62" spans="3:11" ht="16" thickBot="1" x14ac:dyDescent="0.25">
      <c r="C62" s="48" t="s">
        <v>21</v>
      </c>
      <c r="D62" s="6"/>
      <c r="E62" s="6"/>
      <c r="F62" s="6"/>
      <c r="G62" s="6"/>
      <c r="H62" s="6"/>
      <c r="I62" s="6"/>
      <c r="J62" s="6"/>
      <c r="K62" s="6"/>
    </row>
    <row r="63" spans="3:11" s="6" customFormat="1" ht="16" thickBot="1" x14ac:dyDescent="0.25">
      <c r="C63" s="47"/>
    </row>
    <row r="64" spans="3:11" s="6" customFormat="1" x14ac:dyDescent="0.2">
      <c r="C64" s="31" t="s">
        <v>2</v>
      </c>
      <c r="D64" s="38"/>
      <c r="E64" s="11">
        <v>40</v>
      </c>
      <c r="F64" s="11">
        <v>50</v>
      </c>
      <c r="G64" s="11">
        <v>60</v>
      </c>
      <c r="H64" s="11">
        <v>70</v>
      </c>
      <c r="I64" s="39">
        <v>80</v>
      </c>
      <c r="J64" s="12">
        <v>90</v>
      </c>
    </row>
    <row r="65" spans="3:10" s="6" customFormat="1" x14ac:dyDescent="0.2">
      <c r="C65" s="32"/>
      <c r="D65" s="40"/>
      <c r="E65" s="9"/>
      <c r="F65" s="9"/>
      <c r="G65" s="9"/>
      <c r="H65" s="9"/>
      <c r="I65" s="9"/>
      <c r="J65" s="10"/>
    </row>
    <row r="66" spans="3:10" s="6" customFormat="1" x14ac:dyDescent="0.2">
      <c r="C66" s="33" t="s">
        <v>4</v>
      </c>
      <c r="D66" s="40"/>
      <c r="E66" s="9">
        <f t="shared" ref="E66:J66" si="17">$D$5</f>
        <v>300</v>
      </c>
      <c r="F66" s="9">
        <f t="shared" si="17"/>
        <v>300</v>
      </c>
      <c r="G66" s="9">
        <f t="shared" si="17"/>
        <v>300</v>
      </c>
      <c r="H66" s="9">
        <f t="shared" si="17"/>
        <v>300</v>
      </c>
      <c r="I66" s="9">
        <f t="shared" si="17"/>
        <v>300</v>
      </c>
      <c r="J66" s="46">
        <f t="shared" si="17"/>
        <v>300</v>
      </c>
    </row>
    <row r="67" spans="3:10" s="6" customFormat="1" x14ac:dyDescent="0.2">
      <c r="C67" s="34" t="s">
        <v>3</v>
      </c>
      <c r="D67" s="40"/>
      <c r="E67" s="15">
        <f t="shared" ref="E67:J67" si="18">$D$7-(E66*($D$10/100)*8.34*($D$3-$D$4))</f>
        <v>27980.700000000004</v>
      </c>
      <c r="F67" s="15">
        <f t="shared" si="18"/>
        <v>27980.700000000004</v>
      </c>
      <c r="G67" s="15">
        <f t="shared" si="18"/>
        <v>27980.700000000004</v>
      </c>
      <c r="H67" s="15">
        <f t="shared" si="18"/>
        <v>27980.700000000004</v>
      </c>
      <c r="I67" s="15">
        <f t="shared" si="18"/>
        <v>27980.700000000004</v>
      </c>
      <c r="J67" s="16">
        <f t="shared" si="18"/>
        <v>27980.700000000004</v>
      </c>
    </row>
    <row r="68" spans="3:10" s="6" customFormat="1" x14ac:dyDescent="0.2">
      <c r="C68" s="34" t="s">
        <v>23</v>
      </c>
      <c r="D68" s="40"/>
      <c r="E68" s="15">
        <v>89100</v>
      </c>
      <c r="F68" s="15">
        <v>102700</v>
      </c>
      <c r="G68" s="15">
        <v>117300</v>
      </c>
      <c r="H68" s="15">
        <v>135100</v>
      </c>
      <c r="I68" s="15">
        <v>155200</v>
      </c>
      <c r="J68" s="16">
        <v>169500</v>
      </c>
    </row>
    <row r="69" spans="3:10" s="6" customFormat="1" x14ac:dyDescent="0.2">
      <c r="C69" s="89" t="s">
        <v>61</v>
      </c>
      <c r="D69" s="40"/>
      <c r="E69" s="90">
        <f t="shared" ref="E69:J69" si="19">E67/E68</f>
        <v>0.31403703703703706</v>
      </c>
      <c r="F69" s="90">
        <f t="shared" si="19"/>
        <v>0.27245082765335932</v>
      </c>
      <c r="G69" s="90">
        <f t="shared" si="19"/>
        <v>0.23853964194373406</v>
      </c>
      <c r="H69" s="90">
        <f t="shared" si="19"/>
        <v>0.20711102886750557</v>
      </c>
      <c r="I69" s="90">
        <f t="shared" si="19"/>
        <v>0.18028801546391757</v>
      </c>
      <c r="J69" s="91">
        <f t="shared" si="19"/>
        <v>0.1650778761061947</v>
      </c>
    </row>
    <row r="70" spans="3:10" s="6" customFormat="1" x14ac:dyDescent="0.2">
      <c r="C70" s="35" t="s">
        <v>13</v>
      </c>
      <c r="D70" s="50"/>
      <c r="E70" s="9">
        <f>(E68)*E69/(8.34*($D$3-$D$4))</f>
        <v>61</v>
      </c>
      <c r="F70" s="9">
        <f>(F68)*F69/(8.34*($D$3-$D$4))</f>
        <v>61</v>
      </c>
      <c r="G70" s="9">
        <f>(G68*G69)/(8.34*($D$3-$D$4))</f>
        <v>61.000000000000014</v>
      </c>
      <c r="H70" s="9">
        <f>(H68*H69)/(8.34*($D$3-$D$4))</f>
        <v>61</v>
      </c>
      <c r="I70" s="9">
        <f>(I68*I69)/(8.34*($D$3-$D$4))</f>
        <v>61.000000000000021</v>
      </c>
      <c r="J70" s="13">
        <f>(J68*J69)/(8.34*($D$3-$D$4))</f>
        <v>61</v>
      </c>
    </row>
    <row r="71" spans="3:10" s="6" customFormat="1" ht="32" x14ac:dyDescent="0.2">
      <c r="C71" s="36" t="s">
        <v>15</v>
      </c>
      <c r="D71" s="50"/>
      <c r="E71" s="9">
        <f t="shared" ref="E71:J71" si="20">$D$10*$D$5/100</f>
        <v>99</v>
      </c>
      <c r="F71" s="9">
        <f t="shared" si="20"/>
        <v>99</v>
      </c>
      <c r="G71" s="9">
        <f t="shared" si="20"/>
        <v>99</v>
      </c>
      <c r="H71" s="9">
        <f t="shared" si="20"/>
        <v>99</v>
      </c>
      <c r="I71" s="9">
        <f t="shared" si="20"/>
        <v>99</v>
      </c>
      <c r="J71" s="13">
        <f t="shared" si="20"/>
        <v>99</v>
      </c>
    </row>
    <row r="72" spans="3:10" s="6" customFormat="1" ht="16" thickBot="1" x14ac:dyDescent="0.25">
      <c r="C72" s="37" t="s">
        <v>14</v>
      </c>
      <c r="D72" s="51"/>
      <c r="E72" s="14">
        <f t="shared" ref="E72:J72" si="21">E70+E71</f>
        <v>160</v>
      </c>
      <c r="F72" s="14">
        <f t="shared" si="21"/>
        <v>160</v>
      </c>
      <c r="G72" s="44">
        <f t="shared" si="21"/>
        <v>160</v>
      </c>
      <c r="H72" s="44">
        <f t="shared" si="21"/>
        <v>160</v>
      </c>
      <c r="I72" s="44">
        <f t="shared" si="21"/>
        <v>160.00000000000003</v>
      </c>
      <c r="J72" s="52">
        <f t="shared" si="21"/>
        <v>160</v>
      </c>
    </row>
    <row r="73" spans="3:10" s="6" customFormat="1" ht="16" thickBot="1" x14ac:dyDescent="0.25">
      <c r="D73" s="49"/>
      <c r="E73" s="56"/>
      <c r="F73" s="56"/>
      <c r="G73" s="57"/>
      <c r="H73" s="57"/>
      <c r="I73" s="57"/>
      <c r="J73" s="49"/>
    </row>
    <row r="74" spans="3:10" s="6" customFormat="1" ht="16" thickBot="1" x14ac:dyDescent="0.25">
      <c r="C74" s="48" t="s">
        <v>27</v>
      </c>
    </row>
    <row r="75" spans="3:10" s="6" customFormat="1" ht="16" thickBot="1" x14ac:dyDescent="0.25">
      <c r="C75" s="47"/>
    </row>
    <row r="76" spans="3:10" s="6" customFormat="1" x14ac:dyDescent="0.2">
      <c r="C76" s="31" t="s">
        <v>2</v>
      </c>
      <c r="D76" s="38"/>
      <c r="E76" s="11">
        <v>40</v>
      </c>
      <c r="F76" s="11">
        <v>50</v>
      </c>
      <c r="G76" s="11">
        <v>60</v>
      </c>
      <c r="H76" s="11">
        <v>70</v>
      </c>
      <c r="I76" s="39">
        <v>80</v>
      </c>
      <c r="J76" s="12">
        <v>90</v>
      </c>
    </row>
    <row r="77" spans="3:10" s="6" customFormat="1" x14ac:dyDescent="0.2">
      <c r="C77" s="32"/>
      <c r="D77" s="40"/>
      <c r="E77" s="9"/>
      <c r="F77" s="9"/>
      <c r="G77" s="9"/>
      <c r="H77" s="9"/>
      <c r="I77" s="9"/>
      <c r="J77" s="10"/>
    </row>
    <row r="78" spans="3:10" s="6" customFormat="1" x14ac:dyDescent="0.2">
      <c r="C78" s="33" t="s">
        <v>4</v>
      </c>
      <c r="D78" s="40"/>
      <c r="E78" s="9">
        <f t="shared" ref="E78:J78" si="22">$D$5</f>
        <v>300</v>
      </c>
      <c r="F78" s="9">
        <f t="shared" si="22"/>
        <v>300</v>
      </c>
      <c r="G78" s="9">
        <f t="shared" si="22"/>
        <v>300</v>
      </c>
      <c r="H78" s="9">
        <f t="shared" si="22"/>
        <v>300</v>
      </c>
      <c r="I78" s="9">
        <f t="shared" si="22"/>
        <v>300</v>
      </c>
      <c r="J78" s="46">
        <f t="shared" si="22"/>
        <v>300</v>
      </c>
    </row>
    <row r="79" spans="3:10" s="6" customFormat="1" x14ac:dyDescent="0.2">
      <c r="C79" s="34" t="s">
        <v>3</v>
      </c>
      <c r="D79" s="40"/>
      <c r="E79" s="15">
        <f t="shared" ref="E79:J79" si="23">$D$7-(E78*($D$10/100)*8.34*($D$3-$D$4))</f>
        <v>27980.700000000004</v>
      </c>
      <c r="F79" s="15">
        <f t="shared" si="23"/>
        <v>27980.700000000004</v>
      </c>
      <c r="G79" s="15">
        <f t="shared" si="23"/>
        <v>27980.700000000004</v>
      </c>
      <c r="H79" s="15">
        <f t="shared" si="23"/>
        <v>27980.700000000004</v>
      </c>
      <c r="I79" s="15">
        <f t="shared" si="23"/>
        <v>27980.700000000004</v>
      </c>
      <c r="J79" s="16">
        <f t="shared" si="23"/>
        <v>27980.700000000004</v>
      </c>
    </row>
    <row r="80" spans="3:10" s="6" customFormat="1" x14ac:dyDescent="0.2">
      <c r="C80" s="34" t="s">
        <v>23</v>
      </c>
      <c r="D80" s="40"/>
      <c r="E80" s="15">
        <v>139000</v>
      </c>
      <c r="F80" s="15">
        <v>160000</v>
      </c>
      <c r="G80" s="15">
        <v>182000</v>
      </c>
      <c r="H80" s="15">
        <v>208800</v>
      </c>
      <c r="I80" s="15">
        <v>240600</v>
      </c>
      <c r="J80" s="16">
        <v>251500</v>
      </c>
    </row>
    <row r="81" spans="3:10" s="6" customFormat="1" x14ac:dyDescent="0.2">
      <c r="C81" s="89" t="s">
        <v>64</v>
      </c>
      <c r="D81" s="40"/>
      <c r="E81" s="90">
        <f t="shared" ref="E81:J81" si="24">E79/E80</f>
        <v>0.20130000000000003</v>
      </c>
      <c r="F81" s="90">
        <f t="shared" si="24"/>
        <v>0.17487937500000003</v>
      </c>
      <c r="G81" s="90">
        <f t="shared" si="24"/>
        <v>0.15374010989010992</v>
      </c>
      <c r="H81" s="90">
        <f t="shared" si="24"/>
        <v>0.134007183908046</v>
      </c>
      <c r="I81" s="90">
        <f t="shared" si="24"/>
        <v>0.11629551122194516</v>
      </c>
      <c r="J81" s="91">
        <f t="shared" si="24"/>
        <v>0.11125526838966204</v>
      </c>
    </row>
    <row r="82" spans="3:10" s="6" customFormat="1" x14ac:dyDescent="0.2">
      <c r="C82" s="35" t="s">
        <v>13</v>
      </c>
      <c r="D82" s="50"/>
      <c r="E82" s="9">
        <f>(E80)*E81/(8.34*($D$3-$D$4))</f>
        <v>61.000000000000014</v>
      </c>
      <c r="F82" s="9">
        <f>(F80)*F81/(8.34*($D$3-$D$4))</f>
        <v>61.000000000000014</v>
      </c>
      <c r="G82" s="9">
        <f>(G80*G81)/(8.34*($D$3-$D$4))</f>
        <v>61.000000000000014</v>
      </c>
      <c r="H82" s="9">
        <f>(H80*H81)/(8.34*($D$3-$D$4))</f>
        <v>61.000000000000014</v>
      </c>
      <c r="I82" s="9">
        <f>(I80*I81)/(8.34*($D$3-$D$4))</f>
        <v>61.000000000000014</v>
      </c>
      <c r="J82" s="13">
        <f>(J80*J81)/(8.34*($D$3-$D$4))</f>
        <v>61.000000000000014</v>
      </c>
    </row>
    <row r="83" spans="3:10" s="6" customFormat="1" ht="32" x14ac:dyDescent="0.2">
      <c r="C83" s="36" t="s">
        <v>15</v>
      </c>
      <c r="D83" s="50"/>
      <c r="E83" s="9">
        <f t="shared" ref="E83:J83" si="25">$D$10*$D$5/100</f>
        <v>99</v>
      </c>
      <c r="F83" s="9">
        <f t="shared" si="25"/>
        <v>99</v>
      </c>
      <c r="G83" s="9">
        <f t="shared" si="25"/>
        <v>99</v>
      </c>
      <c r="H83" s="9">
        <f t="shared" si="25"/>
        <v>99</v>
      </c>
      <c r="I83" s="9">
        <f t="shared" si="25"/>
        <v>99</v>
      </c>
      <c r="J83" s="13">
        <f t="shared" si="25"/>
        <v>99</v>
      </c>
    </row>
    <row r="84" spans="3:10" s="6" customFormat="1" ht="16" thickBot="1" x14ac:dyDescent="0.25">
      <c r="C84" s="37" t="s">
        <v>14</v>
      </c>
      <c r="D84" s="51"/>
      <c r="E84" s="14">
        <f t="shared" ref="E84:J84" si="26">E82+E83</f>
        <v>160</v>
      </c>
      <c r="F84" s="14">
        <f t="shared" si="26"/>
        <v>160</v>
      </c>
      <c r="G84" s="44">
        <f t="shared" si="26"/>
        <v>160</v>
      </c>
      <c r="H84" s="44">
        <f t="shared" si="26"/>
        <v>160</v>
      </c>
      <c r="I84" s="44">
        <f t="shared" si="26"/>
        <v>160</v>
      </c>
      <c r="J84" s="52">
        <f t="shared" si="26"/>
        <v>160</v>
      </c>
    </row>
    <row r="85" spans="3:10" s="6" customFormat="1" ht="16" thickBot="1" x14ac:dyDescent="0.25"/>
    <row r="86" spans="3:10" ht="16" thickBot="1" x14ac:dyDescent="0.25">
      <c r="C86" s="48" t="s">
        <v>22</v>
      </c>
    </row>
    <row r="87" spans="3:10" ht="16" thickBot="1" x14ac:dyDescent="0.25"/>
    <row r="88" spans="3:10" x14ac:dyDescent="0.2">
      <c r="C88" s="31" t="s">
        <v>2</v>
      </c>
      <c r="D88" s="38"/>
      <c r="E88" s="11">
        <v>40</v>
      </c>
      <c r="F88" s="11">
        <v>50</v>
      </c>
      <c r="G88" s="11">
        <v>60</v>
      </c>
      <c r="H88" s="11">
        <v>70</v>
      </c>
      <c r="I88" s="39">
        <v>80</v>
      </c>
      <c r="J88" s="12">
        <v>90</v>
      </c>
    </row>
    <row r="89" spans="3:10" x14ac:dyDescent="0.2">
      <c r="C89" s="32"/>
      <c r="D89" s="40"/>
      <c r="E89" s="9"/>
      <c r="F89" s="9"/>
      <c r="G89" s="9"/>
      <c r="H89" s="9"/>
      <c r="I89" s="9"/>
      <c r="J89" s="41"/>
    </row>
    <row r="90" spans="3:10" x14ac:dyDescent="0.2">
      <c r="C90" s="33" t="s">
        <v>4</v>
      </c>
      <c r="D90" s="40"/>
      <c r="E90" s="9">
        <f>D5</f>
        <v>300</v>
      </c>
      <c r="F90" s="9">
        <f>D5</f>
        <v>300</v>
      </c>
      <c r="G90" s="9">
        <f>D5</f>
        <v>300</v>
      </c>
      <c r="H90" s="9">
        <f>D5</f>
        <v>300</v>
      </c>
      <c r="I90" s="9">
        <f>D5</f>
        <v>300</v>
      </c>
      <c r="J90" s="10">
        <f>D5</f>
        <v>300</v>
      </c>
    </row>
    <row r="91" spans="3:10" x14ac:dyDescent="0.2">
      <c r="C91" s="34" t="s">
        <v>3</v>
      </c>
      <c r="D91" s="40"/>
      <c r="E91" s="15">
        <f>D7-(E90*(D10/100)*8.34*(D3-D4))</f>
        <v>27980.700000000004</v>
      </c>
      <c r="F91" s="15">
        <f>D7-(F90*(D10/100)*8.34*(D3-D4))</f>
        <v>27980.700000000004</v>
      </c>
      <c r="G91" s="15">
        <f>D7-(G90*8.34*(D10/100)*(D3-D4))</f>
        <v>27980.699999999997</v>
      </c>
      <c r="H91" s="15">
        <f>D7-((D10/100)*8.34*H90*(D3-D4))</f>
        <v>27980.699999999997</v>
      </c>
      <c r="I91" s="15">
        <f>D7-(I90*(D10/100)*8.34*(D3-D4))</f>
        <v>27980.700000000004</v>
      </c>
      <c r="J91" s="16">
        <f>$D$7-(J90*($D$10/100)*8.34*($D$3-$D$4))</f>
        <v>27980.700000000004</v>
      </c>
    </row>
    <row r="92" spans="3:10" s="6" customFormat="1" x14ac:dyDescent="0.2">
      <c r="C92" s="34" t="s">
        <v>24</v>
      </c>
      <c r="D92" s="40"/>
      <c r="E92" s="15">
        <v>157000</v>
      </c>
      <c r="F92" s="15">
        <v>188600</v>
      </c>
      <c r="G92" s="15">
        <v>223100</v>
      </c>
      <c r="H92" s="15">
        <v>265400</v>
      </c>
      <c r="I92" s="15">
        <v>310500</v>
      </c>
      <c r="J92" s="10">
        <v>315400</v>
      </c>
    </row>
    <row r="93" spans="3:10" x14ac:dyDescent="0.2">
      <c r="C93" s="89" t="s">
        <v>65</v>
      </c>
      <c r="D93" s="40"/>
      <c r="E93" s="90">
        <f t="shared" ref="E93:J93" si="27">E91/E92</f>
        <v>0.17822101910828028</v>
      </c>
      <c r="F93" s="90">
        <f t="shared" si="27"/>
        <v>0.14836002120890776</v>
      </c>
      <c r="G93" s="90">
        <f t="shared" si="27"/>
        <v>0.1254177498879426</v>
      </c>
      <c r="H93" s="90">
        <f t="shared" si="27"/>
        <v>0.10542840994724942</v>
      </c>
      <c r="I93" s="90">
        <f t="shared" si="27"/>
        <v>9.0114975845410644E-2</v>
      </c>
      <c r="J93" s="91">
        <f t="shared" si="27"/>
        <v>8.8714965123652526E-2</v>
      </c>
    </row>
    <row r="94" spans="3:10" x14ac:dyDescent="0.2">
      <c r="C94" s="35" t="s">
        <v>13</v>
      </c>
      <c r="D94" s="42"/>
      <c r="E94" s="9">
        <f t="shared" ref="E94:I94" si="28">(E91)/(8.34*($D$3-$D$4))</f>
        <v>61.000000000000014</v>
      </c>
      <c r="F94" s="9">
        <f t="shared" si="28"/>
        <v>61.000000000000014</v>
      </c>
      <c r="G94" s="9">
        <f t="shared" si="28"/>
        <v>60.999999999999993</v>
      </c>
      <c r="H94" s="9">
        <f t="shared" si="28"/>
        <v>60.999999999999993</v>
      </c>
      <c r="I94" s="9">
        <f t="shared" si="28"/>
        <v>61.000000000000014</v>
      </c>
      <c r="J94" s="13">
        <f>(J92*J93)/(8.34*($D$3-$D$4))</f>
        <v>61.000000000000021</v>
      </c>
    </row>
    <row r="95" spans="3:10" ht="32" x14ac:dyDescent="0.2">
      <c r="C95" s="36" t="s">
        <v>15</v>
      </c>
      <c r="D95" s="42"/>
      <c r="E95" s="9">
        <f t="shared" ref="E95:J95" si="29">$D$10*$D$5/100</f>
        <v>99</v>
      </c>
      <c r="F95" s="9">
        <f t="shared" si="29"/>
        <v>99</v>
      </c>
      <c r="G95" s="9">
        <f t="shared" si="29"/>
        <v>99</v>
      </c>
      <c r="H95" s="9">
        <f t="shared" si="29"/>
        <v>99</v>
      </c>
      <c r="I95" s="9">
        <f t="shared" si="29"/>
        <v>99</v>
      </c>
      <c r="J95" s="13">
        <f t="shared" si="29"/>
        <v>99</v>
      </c>
    </row>
    <row r="96" spans="3:10" ht="16" thickBot="1" x14ac:dyDescent="0.25">
      <c r="C96" s="37" t="s">
        <v>14</v>
      </c>
      <c r="D96" s="43"/>
      <c r="E96" s="14">
        <f t="shared" ref="E96:J96" si="30">E94+E95</f>
        <v>160</v>
      </c>
      <c r="F96" s="14">
        <f t="shared" si="30"/>
        <v>160</v>
      </c>
      <c r="G96" s="44">
        <f t="shared" si="30"/>
        <v>160</v>
      </c>
      <c r="H96" s="44">
        <f t="shared" si="30"/>
        <v>160</v>
      </c>
      <c r="I96" s="44">
        <f t="shared" si="30"/>
        <v>160</v>
      </c>
      <c r="J96" s="52">
        <f t="shared" si="30"/>
        <v>160.00000000000003</v>
      </c>
    </row>
    <row r="97" spans="3:15" s="6" customFormat="1" x14ac:dyDescent="0.2"/>
    <row r="98" spans="3:15" s="6" customFormat="1" ht="16" thickBot="1" x14ac:dyDescent="0.25"/>
    <row r="99" spans="3:15" ht="16" thickBot="1" x14ac:dyDescent="0.25">
      <c r="C99" s="5" t="s">
        <v>42</v>
      </c>
    </row>
    <row r="100" spans="3:15" ht="16" thickBot="1" x14ac:dyDescent="0.25">
      <c r="E100" s="6"/>
    </row>
    <row r="101" spans="3:15" ht="82.5" customHeight="1" x14ac:dyDescent="0.2">
      <c r="C101" s="38" t="s">
        <v>28</v>
      </c>
      <c r="D101" s="58" t="s">
        <v>29</v>
      </c>
      <c r="E101" s="11"/>
      <c r="F101" s="58" t="s">
        <v>43</v>
      </c>
      <c r="G101" s="11" t="s">
        <v>30</v>
      </c>
      <c r="H101" s="58" t="s">
        <v>44</v>
      </c>
      <c r="I101" s="58" t="s">
        <v>31</v>
      </c>
      <c r="J101" s="58" t="s">
        <v>41</v>
      </c>
      <c r="K101" s="54" t="s">
        <v>32</v>
      </c>
      <c r="L101" s="6"/>
      <c r="N101" s="98" t="s">
        <v>47</v>
      </c>
      <c r="O101" s="99"/>
    </row>
    <row r="102" spans="3:15" x14ac:dyDescent="0.2">
      <c r="C102" s="40" t="s">
        <v>33</v>
      </c>
      <c r="D102" s="84">
        <v>2.2999999999999998</v>
      </c>
      <c r="E102" s="9" t="s">
        <v>34</v>
      </c>
      <c r="F102" s="59">
        <v>1000</v>
      </c>
      <c r="G102" s="60">
        <f>F102/D102</f>
        <v>434.78260869565219</v>
      </c>
      <c r="H102" s="60">
        <v>0.65</v>
      </c>
      <c r="I102" s="60">
        <f>H102*G102*N102</f>
        <v>39226086.956521742</v>
      </c>
      <c r="J102" s="60">
        <f>I102*$D$107/3412/3.5</f>
        <v>229.93016973342174</v>
      </c>
      <c r="K102" s="76">
        <f>F102-J102</f>
        <v>770.06983026657826</v>
      </c>
      <c r="L102" s="6"/>
      <c r="N102" s="61">
        <v>138800</v>
      </c>
      <c r="O102" s="62" t="s">
        <v>34</v>
      </c>
    </row>
    <row r="103" spans="3:15" x14ac:dyDescent="0.2">
      <c r="C103" s="40" t="s">
        <v>35</v>
      </c>
      <c r="D103" s="84">
        <v>0.67</v>
      </c>
      <c r="E103" s="9" t="s">
        <v>34</v>
      </c>
      <c r="F103" s="59">
        <v>1000</v>
      </c>
      <c r="G103" s="60">
        <f t="shared" ref="G103:G104" si="31">F103/D103</f>
        <v>1492.5373134328358</v>
      </c>
      <c r="H103" s="60">
        <v>0.65</v>
      </c>
      <c r="I103" s="60">
        <f>H103*G103*N103</f>
        <v>88477611.940298513</v>
      </c>
      <c r="J103" s="60">
        <f t="shared" ref="J103:J104" si="32">I103*$D$107/3412/3.5</f>
        <v>518.6260957813513</v>
      </c>
      <c r="K103" s="76">
        <f t="shared" ref="K103:K105" si="33">F103-J103</f>
        <v>481.3739042186487</v>
      </c>
      <c r="L103" s="6"/>
      <c r="N103" s="63">
        <v>91200</v>
      </c>
      <c r="O103" s="62" t="s">
        <v>34</v>
      </c>
    </row>
    <row r="104" spans="3:15" x14ac:dyDescent="0.2">
      <c r="C104" s="40" t="s">
        <v>36</v>
      </c>
      <c r="D104" s="84">
        <v>0.8</v>
      </c>
      <c r="E104" s="9" t="s">
        <v>37</v>
      </c>
      <c r="F104" s="59">
        <v>1000</v>
      </c>
      <c r="G104" s="60">
        <f t="shared" si="31"/>
        <v>1250</v>
      </c>
      <c r="H104" s="60">
        <v>0.65</v>
      </c>
      <c r="I104" s="60">
        <f>H104*G104*N104</f>
        <v>81250000</v>
      </c>
      <c r="J104" s="60">
        <f t="shared" si="32"/>
        <v>476.26025791324747</v>
      </c>
      <c r="K104" s="76">
        <f t="shared" si="33"/>
        <v>523.73974208675259</v>
      </c>
      <c r="L104" s="6"/>
      <c r="N104" s="61">
        <v>100000</v>
      </c>
      <c r="O104" s="62" t="s">
        <v>37</v>
      </c>
    </row>
    <row r="105" spans="3:15" ht="16" thickBot="1" x14ac:dyDescent="0.25">
      <c r="C105" s="64" t="s">
        <v>38</v>
      </c>
      <c r="D105" s="85">
        <f>D107</f>
        <v>7.0000000000000007E-2</v>
      </c>
      <c r="E105" s="14" t="s">
        <v>40</v>
      </c>
      <c r="F105" s="65">
        <v>1000</v>
      </c>
      <c r="G105" s="66" t="s">
        <v>39</v>
      </c>
      <c r="H105" s="66">
        <v>0.9</v>
      </c>
      <c r="I105" s="66">
        <f>F105*H105*N105/D105</f>
        <v>43868571.428571425</v>
      </c>
      <c r="J105" s="66">
        <f>I105*$D$107/3412/3.5</f>
        <v>257.14285714285717</v>
      </c>
      <c r="K105" s="77">
        <f t="shared" si="33"/>
        <v>742.85714285714289</v>
      </c>
      <c r="L105" s="6"/>
      <c r="N105" s="67">
        <v>3412</v>
      </c>
      <c r="O105" s="68" t="s">
        <v>40</v>
      </c>
    </row>
    <row r="106" spans="3:15" ht="16" thickBot="1" x14ac:dyDescent="0.25">
      <c r="C106" s="6"/>
      <c r="D106" s="6"/>
      <c r="E106" s="6"/>
      <c r="F106" s="6"/>
      <c r="G106" s="6"/>
      <c r="H106" s="6"/>
      <c r="I106" s="6"/>
      <c r="J106" s="6"/>
    </row>
    <row r="107" spans="3:15" s="6" customFormat="1" ht="16" thickBot="1" x14ac:dyDescent="0.25">
      <c r="C107" s="74" t="s">
        <v>57</v>
      </c>
      <c r="D107" s="75">
        <f>0.07</f>
        <v>7.0000000000000007E-2</v>
      </c>
      <c r="E107" s="56" t="s">
        <v>56</v>
      </c>
      <c r="F107" s="2" t="s">
        <v>58</v>
      </c>
    </row>
    <row r="108" spans="3:15" s="6" customFormat="1" x14ac:dyDescent="0.2">
      <c r="E108" s="56"/>
    </row>
    <row r="109" spans="3:15" ht="16" thickBot="1" x14ac:dyDescent="0.25">
      <c r="C109" s="6"/>
      <c r="D109" s="6"/>
      <c r="E109" s="6"/>
      <c r="F109" s="6"/>
      <c r="G109" s="6"/>
      <c r="H109" s="6"/>
      <c r="I109" s="6"/>
      <c r="J109" s="6"/>
    </row>
    <row r="110" spans="3:15" ht="16" thickBot="1" x14ac:dyDescent="0.25">
      <c r="C110" s="5" t="s">
        <v>45</v>
      </c>
      <c r="D110" s="6"/>
      <c r="E110" s="6"/>
      <c r="F110" s="6"/>
      <c r="G110" s="6"/>
      <c r="H110" s="6"/>
      <c r="I110" s="6"/>
      <c r="J110" s="6"/>
    </row>
    <row r="111" spans="3:15" x14ac:dyDescent="0.2">
      <c r="C111" s="6"/>
      <c r="D111" s="6"/>
      <c r="E111" s="6"/>
      <c r="F111" s="6"/>
      <c r="G111" s="6"/>
      <c r="H111" s="6"/>
      <c r="I111" s="6"/>
      <c r="J111" s="6"/>
    </row>
    <row r="112" spans="3:15" ht="16" thickBot="1" x14ac:dyDescent="0.25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3:15" ht="36" customHeight="1" x14ac:dyDescent="0.2">
      <c r="C113" s="38" t="s">
        <v>46</v>
      </c>
      <c r="D113" s="58" t="s">
        <v>29</v>
      </c>
      <c r="E113" s="11"/>
      <c r="F113" s="58" t="s">
        <v>48</v>
      </c>
      <c r="G113" s="58" t="s">
        <v>55</v>
      </c>
      <c r="H113" s="58" t="s">
        <v>49</v>
      </c>
      <c r="I113" s="58" t="s">
        <v>50</v>
      </c>
      <c r="J113" s="58" t="s">
        <v>51</v>
      </c>
      <c r="K113" s="58" t="s">
        <v>52</v>
      </c>
      <c r="L113" s="83" t="s">
        <v>53</v>
      </c>
      <c r="M113" s="69"/>
      <c r="N113" s="100" t="s">
        <v>47</v>
      </c>
      <c r="O113" s="101"/>
    </row>
    <row r="114" spans="3:15" x14ac:dyDescent="0.2">
      <c r="C114" s="40"/>
      <c r="D114" s="9"/>
      <c r="E114" s="9"/>
      <c r="F114" s="9"/>
      <c r="G114" s="9"/>
      <c r="H114" s="9"/>
      <c r="I114" s="9"/>
      <c r="J114" s="9"/>
      <c r="K114" s="9"/>
      <c r="L114" s="13"/>
      <c r="M114" s="69"/>
      <c r="N114" s="102"/>
      <c r="O114" s="103"/>
    </row>
    <row r="115" spans="3:15" x14ac:dyDescent="0.2">
      <c r="C115" s="40" t="s">
        <v>33</v>
      </c>
      <c r="D115" s="70">
        <v>2.2999999999999998</v>
      </c>
      <c r="E115" s="9" t="s">
        <v>34</v>
      </c>
      <c r="F115" s="9">
        <f>$D$6</f>
        <v>1000</v>
      </c>
      <c r="G115" s="9">
        <f>F115*8.34*($D$3-$D$4)*365</f>
        <v>167425500</v>
      </c>
      <c r="H115" s="9">
        <v>0.65</v>
      </c>
      <c r="I115" s="97">
        <f>G115/H115/N115</f>
        <v>1855.7470627355353</v>
      </c>
      <c r="J115" s="72"/>
      <c r="K115" s="60">
        <f>I115*D115</f>
        <v>4268.218244291731</v>
      </c>
      <c r="L115" s="78">
        <f>K115-K119</f>
        <v>2165.2350756432634</v>
      </c>
      <c r="M115" s="69"/>
      <c r="N115" s="95">
        <v>138800</v>
      </c>
      <c r="O115" s="93" t="s">
        <v>68</v>
      </c>
    </row>
    <row r="116" spans="3:15" x14ac:dyDescent="0.2">
      <c r="C116" s="40" t="s">
        <v>35</v>
      </c>
      <c r="D116" s="70">
        <v>1.7</v>
      </c>
      <c r="E116" s="9" t="s">
        <v>34</v>
      </c>
      <c r="F116" s="9">
        <f t="shared" ref="F116:F119" si="34">$D$6</f>
        <v>1000</v>
      </c>
      <c r="G116" s="9">
        <f t="shared" ref="G116:G119" si="35">F116*8.34*($D$3-$D$4)*365</f>
        <v>167425500</v>
      </c>
      <c r="H116" s="9">
        <v>0.65</v>
      </c>
      <c r="I116" s="97">
        <f t="shared" ref="I116:I117" si="36">G116/H116/N116</f>
        <v>2824.3168016194331</v>
      </c>
      <c r="J116" s="72"/>
      <c r="K116" s="60">
        <f>I116*D116</f>
        <v>4801.3385627530361</v>
      </c>
      <c r="L116" s="78">
        <f>K116-K119</f>
        <v>2698.3553941045684</v>
      </c>
      <c r="M116" s="69"/>
      <c r="N116" s="95">
        <v>91200</v>
      </c>
      <c r="O116" s="93" t="s">
        <v>69</v>
      </c>
    </row>
    <row r="117" spans="3:15" x14ac:dyDescent="0.2">
      <c r="C117" s="40" t="s">
        <v>36</v>
      </c>
      <c r="D117" s="70">
        <v>1.5</v>
      </c>
      <c r="E117" s="9" t="s">
        <v>37</v>
      </c>
      <c r="F117" s="9">
        <f t="shared" si="34"/>
        <v>1000</v>
      </c>
      <c r="G117" s="9">
        <f t="shared" si="35"/>
        <v>167425500</v>
      </c>
      <c r="H117" s="9">
        <v>0.65</v>
      </c>
      <c r="I117" s="97">
        <f t="shared" si="36"/>
        <v>2575.7769230769227</v>
      </c>
      <c r="J117" s="72"/>
      <c r="K117" s="60">
        <f>I117*D117</f>
        <v>3863.665384615384</v>
      </c>
      <c r="L117" s="78">
        <f>K117-K119</f>
        <v>1760.6822159669164</v>
      </c>
      <c r="M117" s="69"/>
      <c r="N117" s="95">
        <v>100000</v>
      </c>
      <c r="O117" s="93" t="s">
        <v>70</v>
      </c>
    </row>
    <row r="118" spans="3:15" x14ac:dyDescent="0.2">
      <c r="C118" s="40" t="s">
        <v>38</v>
      </c>
      <c r="D118" s="70">
        <v>0.15</v>
      </c>
      <c r="E118" s="9" t="s">
        <v>40</v>
      </c>
      <c r="F118" s="9">
        <f t="shared" si="34"/>
        <v>1000</v>
      </c>
      <c r="G118" s="9">
        <f t="shared" si="35"/>
        <v>167425500</v>
      </c>
      <c r="H118" s="9">
        <v>0.9</v>
      </c>
      <c r="I118" s="73"/>
      <c r="J118" s="71">
        <f>G118/H118/N118</f>
        <v>54521.785853849164</v>
      </c>
      <c r="K118" s="60">
        <f>J118*D118</f>
        <v>8178.267878077374</v>
      </c>
      <c r="L118" s="78">
        <f>K118-K119</f>
        <v>6075.2847094289064</v>
      </c>
      <c r="M118" s="69"/>
      <c r="N118" s="95">
        <v>3412</v>
      </c>
      <c r="O118" s="93" t="s">
        <v>71</v>
      </c>
    </row>
    <row r="119" spans="3:15" ht="16" thickBot="1" x14ac:dyDescent="0.25">
      <c r="C119" s="64" t="s">
        <v>26</v>
      </c>
      <c r="D119" s="79">
        <v>0.15</v>
      </c>
      <c r="E119" s="14" t="s">
        <v>40</v>
      </c>
      <c r="F119" s="14">
        <f t="shared" si="34"/>
        <v>1000</v>
      </c>
      <c r="G119" s="14">
        <f t="shared" si="35"/>
        <v>167425500</v>
      </c>
      <c r="H119" s="14">
        <v>3.5</v>
      </c>
      <c r="I119" s="80"/>
      <c r="J119" s="81">
        <f>G119/H119/N119</f>
        <v>14019.887790989784</v>
      </c>
      <c r="K119" s="66">
        <f>J119*D119</f>
        <v>2102.9831686484677</v>
      </c>
      <c r="L119" s="82"/>
      <c r="M119" s="69"/>
      <c r="N119" s="96">
        <v>3412</v>
      </c>
      <c r="O119" s="94" t="s">
        <v>40</v>
      </c>
    </row>
    <row r="120" spans="3:15" x14ac:dyDescent="0.2">
      <c r="C120" s="6"/>
      <c r="D120" s="6"/>
      <c r="E120" s="6"/>
      <c r="F120" s="6"/>
      <c r="G120" s="6"/>
      <c r="H120" s="6"/>
      <c r="I120" s="6"/>
      <c r="J120" s="6"/>
    </row>
    <row r="121" spans="3:15" x14ac:dyDescent="0.2">
      <c r="C121" s="6"/>
      <c r="D121" s="6"/>
      <c r="E121" s="6"/>
      <c r="F121" s="6"/>
      <c r="G121" s="6"/>
      <c r="H121" s="6"/>
      <c r="I121" s="6"/>
      <c r="J121" s="6"/>
    </row>
  </sheetData>
  <mergeCells count="2">
    <mergeCell ref="N101:O101"/>
    <mergeCell ref="N113:O114"/>
  </mergeCells>
  <conditionalFormatting sqref="I106:I111 J106:J108 I120:I121">
    <cfRule type="cellIs" dxfId="4" priority="5" operator="lessThan">
      <formula>0</formula>
    </cfRule>
  </conditionalFormatting>
  <conditionalFormatting sqref="J110:J111 J120">
    <cfRule type="cellIs" dxfId="3" priority="4" operator="lessThan">
      <formula>0</formula>
    </cfRule>
  </conditionalFormatting>
  <conditionalFormatting sqref="G121">
    <cfRule type="cellIs" dxfId="2" priority="2" operator="greaterThan">
      <formula>24</formula>
    </cfRule>
    <cfRule type="cellIs" dxfId="1" priority="3" operator="lessThan">
      <formula>24</formula>
    </cfRule>
  </conditionalFormatting>
  <conditionalFormatting sqref="G110:G111 G120">
    <cfRule type="cellIs" dxfId="0" priority="1" operator="greaterThan">
      <formula>2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Nyle</dc:creator>
  <cp:lastModifiedBy>Microsoft Office User</cp:lastModifiedBy>
  <dcterms:created xsi:type="dcterms:W3CDTF">2017-03-30T12:42:55Z</dcterms:created>
  <dcterms:modified xsi:type="dcterms:W3CDTF">2019-03-07T19:35:24Z</dcterms:modified>
</cp:coreProperties>
</file>